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1075" windowHeight="9495"/>
  </bookViews>
  <sheets>
    <sheet name="Trades" sheetId="1" r:id="rId1"/>
    <sheet name="Performance analysis" sheetId="2" r:id="rId2"/>
    <sheet name="Charts" sheetId="3" r:id="rId3"/>
  </sheets>
  <calcPr calcId="125725"/>
</workbook>
</file>

<file path=xl/calcChain.xml><?xml version="1.0" encoding="utf-8"?>
<calcChain xmlns="http://schemas.openxmlformats.org/spreadsheetml/2006/main">
  <c r="D10" i="2"/>
  <c r="I21"/>
  <c r="D17"/>
  <c r="D18" s="1"/>
  <c r="M7" i="1"/>
  <c r="N7"/>
  <c r="T7"/>
  <c r="M3"/>
  <c r="N3"/>
  <c r="O3"/>
  <c r="Q3"/>
  <c r="Q4" s="1"/>
  <c r="T3"/>
  <c r="M4"/>
  <c r="N4"/>
  <c r="O4"/>
  <c r="T4"/>
  <c r="M5"/>
  <c r="N5"/>
  <c r="T5"/>
  <c r="I19" i="2"/>
  <c r="B24"/>
  <c r="D24"/>
  <c r="D22"/>
  <c r="B22"/>
  <c r="D6"/>
  <c r="T6" i="1"/>
  <c r="D16" i="2"/>
  <c r="B21"/>
  <c r="N6" i="1"/>
  <c r="M6"/>
  <c r="Q5" l="1"/>
  <c r="O5"/>
  <c r="D23" i="2"/>
  <c r="D21"/>
  <c r="B23"/>
  <c r="B5"/>
  <c r="F16"/>
  <c r="B16" s="1"/>
  <c r="B2"/>
  <c r="B6"/>
  <c r="I18"/>
  <c r="B18"/>
  <c r="F7"/>
  <c r="B4"/>
  <c r="D4"/>
  <c r="F6"/>
  <c r="F5"/>
  <c r="F8"/>
  <c r="D8"/>
  <c r="B8"/>
  <c r="F4"/>
  <c r="D2"/>
  <c r="F17"/>
  <c r="Q6" i="1" l="1"/>
  <c r="O6"/>
  <c r="D12" i="2"/>
  <c r="B17"/>
  <c r="F2"/>
  <c r="D5"/>
  <c r="B12" s="1"/>
  <c r="F3"/>
  <c r="D3"/>
  <c r="B26"/>
  <c r="B3"/>
  <c r="B19" l="1"/>
  <c r="I8"/>
  <c r="Q7" i="1"/>
  <c r="O7"/>
  <c r="D27" i="2"/>
  <c r="D26"/>
  <c r="I12"/>
  <c r="I11"/>
  <c r="I7"/>
  <c r="I3"/>
  <c r="I4"/>
  <c r="B27"/>
  <c r="J21" l="1"/>
  <c r="J19"/>
  <c r="J18"/>
  <c r="B10"/>
  <c r="F10" s="1"/>
  <c r="F11" l="1"/>
</calcChain>
</file>

<file path=xl/sharedStrings.xml><?xml version="1.0" encoding="utf-8"?>
<sst xmlns="http://schemas.openxmlformats.org/spreadsheetml/2006/main" count="129" uniqueCount="111">
  <si>
    <t>Symbol</t>
  </si>
  <si>
    <t>Order ID#</t>
  </si>
  <si>
    <t>Initial Stop Loss</t>
  </si>
  <si>
    <t>Initial Take Profit</t>
  </si>
  <si>
    <t>Pip Profit/ Loss</t>
  </si>
  <si>
    <t>Capital % Profit/ Loss</t>
  </si>
  <si>
    <t>USD Profit/ Loss</t>
  </si>
  <si>
    <t>Entered ON</t>
  </si>
  <si>
    <t>Date</t>
  </si>
  <si>
    <t>Closed ON</t>
  </si>
  <si>
    <t>Quanity</t>
  </si>
  <si>
    <t>Units</t>
  </si>
  <si>
    <t>Position</t>
  </si>
  <si>
    <t>Long / Short</t>
  </si>
  <si>
    <t>Account Balance</t>
  </si>
  <si>
    <t xml:space="preserve">Initial Reward: Risk </t>
  </si>
  <si>
    <t>Pips</t>
  </si>
  <si>
    <t>%</t>
  </si>
  <si>
    <t>System for Entry</t>
  </si>
  <si>
    <t>Captial Risked</t>
  </si>
  <si>
    <t>Price</t>
  </si>
  <si>
    <t>USD/CHF</t>
  </si>
  <si>
    <t>Short</t>
  </si>
  <si>
    <t>Buy</t>
  </si>
  <si>
    <t>Sell</t>
  </si>
  <si>
    <t># of Losing Trades</t>
  </si>
  <si>
    <t># of Winning Trades</t>
  </si>
  <si>
    <r>
      <t xml:space="preserve">Largest Winner </t>
    </r>
    <r>
      <rPr>
        <i/>
        <sz val="11"/>
        <color theme="1"/>
        <rFont val="Calibri"/>
        <family val="2"/>
        <scheme val="minor"/>
      </rPr>
      <t>PIPS</t>
    </r>
  </si>
  <si>
    <r>
      <t xml:space="preserve">Largest Loser </t>
    </r>
    <r>
      <rPr>
        <i/>
        <sz val="11"/>
        <color theme="1"/>
        <rFont val="Calibri"/>
        <family val="2"/>
        <scheme val="minor"/>
      </rPr>
      <t>PIPS</t>
    </r>
  </si>
  <si>
    <r>
      <t xml:space="preserve">Largest Loser </t>
    </r>
    <r>
      <rPr>
        <i/>
        <sz val="11"/>
        <color theme="1"/>
        <rFont val="Calibri"/>
        <family val="2"/>
        <scheme val="minor"/>
      </rPr>
      <t>USD</t>
    </r>
  </si>
  <si>
    <r>
      <t xml:space="preserve">Largest Winner </t>
    </r>
    <r>
      <rPr>
        <i/>
        <sz val="11"/>
        <color theme="1"/>
        <rFont val="Calibri"/>
        <family val="2"/>
        <scheme val="minor"/>
      </rPr>
      <t>USD</t>
    </r>
  </si>
  <si>
    <r>
      <t xml:space="preserve">Average Winner </t>
    </r>
    <r>
      <rPr>
        <i/>
        <sz val="11"/>
        <color theme="1"/>
        <rFont val="Calibri"/>
        <family val="2"/>
        <scheme val="minor"/>
      </rPr>
      <t>PIPS</t>
    </r>
  </si>
  <si>
    <r>
      <t>Average Loser</t>
    </r>
    <r>
      <rPr>
        <i/>
        <sz val="11"/>
        <color theme="1"/>
        <rFont val="Calibri"/>
        <family val="2"/>
        <scheme val="minor"/>
      </rPr>
      <t xml:space="preserve"> PIPS</t>
    </r>
  </si>
  <si>
    <r>
      <t xml:space="preserve">Average Winner </t>
    </r>
    <r>
      <rPr>
        <i/>
        <sz val="11"/>
        <color theme="1"/>
        <rFont val="Calibri"/>
        <family val="2"/>
        <scheme val="minor"/>
      </rPr>
      <t>USD</t>
    </r>
  </si>
  <si>
    <r>
      <t xml:space="preserve">Average Loser </t>
    </r>
    <r>
      <rPr>
        <i/>
        <sz val="11"/>
        <color theme="1"/>
        <rFont val="Calibri"/>
        <family val="2"/>
        <scheme val="minor"/>
      </rPr>
      <t>USD</t>
    </r>
  </si>
  <si>
    <t>Total Trades</t>
  </si>
  <si>
    <t>Total Pip P/L</t>
  </si>
  <si>
    <t>Total USD P/L</t>
  </si>
  <si>
    <t>Average Lotsize Winner</t>
  </si>
  <si>
    <t>Average Lotsize Loser</t>
  </si>
  <si>
    <t>Average Lotsize</t>
  </si>
  <si>
    <t>Deposits</t>
  </si>
  <si>
    <t>Largest Reward:Risk</t>
  </si>
  <si>
    <t>Smallest Reward:Risk</t>
  </si>
  <si>
    <t>Peak Capital Held</t>
  </si>
  <si>
    <t xml:space="preserve">Captial Differential </t>
  </si>
  <si>
    <t>% drawdown/peak</t>
  </si>
  <si>
    <t>AUD/CAD</t>
  </si>
  <si>
    <t>Long</t>
  </si>
  <si>
    <t>November 9 03:26:42 2011 EST</t>
  </si>
  <si>
    <t>November 9 04:00:57 2011 EST</t>
  </si>
  <si>
    <t xml:space="preserve">November 9 04:23:12 2011 EST </t>
  </si>
  <si>
    <t>November 9 04:55:35 2011 EST</t>
  </si>
  <si>
    <t>Notes</t>
  </si>
  <si>
    <t>USD/JPY</t>
  </si>
  <si>
    <t>November 9 04:44:49 2011 EST</t>
  </si>
  <si>
    <t>November 9 14:24:39 2011 EST</t>
  </si>
  <si>
    <t>November 10 03:02:53 2011 EST</t>
  </si>
  <si>
    <t>EUR/GBP</t>
  </si>
  <si>
    <t>Scaled Out, Sell is average price.</t>
  </si>
  <si>
    <t>Average Reward:Risk</t>
  </si>
  <si>
    <r>
      <t xml:space="preserve">Expectancy Overall </t>
    </r>
    <r>
      <rPr>
        <i/>
        <sz val="11"/>
        <color theme="1"/>
        <rFont val="Calibri"/>
        <family val="2"/>
        <scheme val="minor"/>
      </rPr>
      <t>PIPS</t>
    </r>
  </si>
  <si>
    <t>Performace Analysis Overall</t>
  </si>
  <si>
    <t>Specific Entry Analysis</t>
  </si>
  <si>
    <r>
      <t xml:space="preserve">Expectancy Overall </t>
    </r>
    <r>
      <rPr>
        <i/>
        <sz val="11"/>
        <color theme="1"/>
        <rFont val="Calibri"/>
        <family val="2"/>
        <scheme val="minor"/>
      </rPr>
      <t>USD</t>
    </r>
  </si>
  <si>
    <t>Probable Max Win Streak over 100 Trades</t>
  </si>
  <si>
    <t>Probable Max Lose Streak over 100 Trades</t>
  </si>
  <si>
    <t>Supply / Demand System</t>
  </si>
  <si>
    <t>Option Barrier System</t>
  </si>
  <si>
    <t>Probable Max Loss Streak over 100 Trades</t>
  </si>
  <si>
    <t>Overall System</t>
  </si>
  <si>
    <t>~99% confidance factor</t>
  </si>
  <si>
    <t>Wins</t>
  </si>
  <si>
    <t>W</t>
  </si>
  <si>
    <t>L</t>
  </si>
  <si>
    <t>Streak Actual</t>
  </si>
  <si>
    <t>Smallest Capital Held</t>
  </si>
  <si>
    <t>Ratio of SnD to Barriers</t>
  </si>
  <si>
    <t>Overall Realized Profit/Loss</t>
  </si>
  <si>
    <t>This System's P/L</t>
  </si>
  <si>
    <t>Weekly P/L</t>
  </si>
  <si>
    <t>November 10 05:10:18 2011 EST</t>
  </si>
  <si>
    <t>Winrate Overall (inc. compound)</t>
  </si>
  <si>
    <t>Winrate Overall (no comp)</t>
  </si>
  <si>
    <t>entry type</t>
  </si>
  <si>
    <t>Stack</t>
  </si>
  <si>
    <t>Buster</t>
  </si>
  <si>
    <t>Total Buster Trades</t>
  </si>
  <si>
    <t>Total Stack Trades</t>
  </si>
  <si>
    <t>Winrate Buster</t>
  </si>
  <si>
    <t>Winrate Stack</t>
  </si>
  <si>
    <t>Winners Buster</t>
  </si>
  <si>
    <t>Winners Stack</t>
  </si>
  <si>
    <t>highlight and recaculate for range to be analysied</t>
  </si>
  <si>
    <t>manual entry (use win loss column)</t>
  </si>
  <si>
    <t>Edit forumlas below for the names of your strat</t>
  </si>
  <si>
    <r>
      <t xml:space="preserve">Average Winner Stack </t>
    </r>
    <r>
      <rPr>
        <i/>
        <sz val="11"/>
        <color theme="1"/>
        <rFont val="Calibri"/>
        <family val="2"/>
        <scheme val="minor"/>
      </rPr>
      <t>USD</t>
    </r>
  </si>
  <si>
    <r>
      <t xml:space="preserve">Average Winner Stack </t>
    </r>
    <r>
      <rPr>
        <i/>
        <sz val="11"/>
        <color theme="1"/>
        <rFont val="Calibri"/>
        <family val="2"/>
        <scheme val="minor"/>
      </rPr>
      <t>PIPS</t>
    </r>
  </si>
  <si>
    <r>
      <t xml:space="preserve">Average Winner BUster </t>
    </r>
    <r>
      <rPr>
        <i/>
        <sz val="11"/>
        <color theme="1"/>
        <rFont val="Calibri"/>
        <family val="2"/>
        <scheme val="minor"/>
      </rPr>
      <t>PIPS</t>
    </r>
  </si>
  <si>
    <r>
      <t xml:space="preserve">Average Winner Buster </t>
    </r>
    <r>
      <rPr>
        <i/>
        <sz val="11"/>
        <color theme="1"/>
        <rFont val="Calibri"/>
        <family val="2"/>
        <scheme val="minor"/>
      </rPr>
      <t>USD</t>
    </r>
  </si>
  <si>
    <r>
      <t xml:space="preserve">Average Loser Buster </t>
    </r>
    <r>
      <rPr>
        <i/>
        <sz val="11"/>
        <color theme="1"/>
        <rFont val="Calibri"/>
        <family val="2"/>
        <scheme val="minor"/>
      </rPr>
      <t>USD</t>
    </r>
  </si>
  <si>
    <r>
      <t xml:space="preserve">Average Loser Buster </t>
    </r>
    <r>
      <rPr>
        <i/>
        <sz val="11"/>
        <color theme="1"/>
        <rFont val="Calibri"/>
        <family val="2"/>
        <scheme val="minor"/>
      </rPr>
      <t>PIPS</t>
    </r>
  </si>
  <si>
    <r>
      <t xml:space="preserve">Average Loser Stack </t>
    </r>
    <r>
      <rPr>
        <i/>
        <sz val="11"/>
        <color theme="1"/>
        <rFont val="Calibri"/>
        <family val="2"/>
        <scheme val="minor"/>
      </rPr>
      <t>USD</t>
    </r>
  </si>
  <si>
    <r>
      <t xml:space="preserve">Average Loser Stack </t>
    </r>
    <r>
      <rPr>
        <i/>
        <sz val="11"/>
        <color theme="1"/>
        <rFont val="Calibri"/>
        <family val="2"/>
        <scheme val="minor"/>
      </rPr>
      <t>PIPS</t>
    </r>
  </si>
  <si>
    <r>
      <t xml:space="preserve">Expectancy Buster </t>
    </r>
    <r>
      <rPr>
        <i/>
        <sz val="11"/>
        <color theme="1"/>
        <rFont val="Calibri"/>
        <family val="2"/>
        <scheme val="minor"/>
      </rPr>
      <t>PIPS</t>
    </r>
  </si>
  <si>
    <r>
      <t xml:space="preserve">Expectancy Buster </t>
    </r>
    <r>
      <rPr>
        <i/>
        <sz val="11"/>
        <color theme="1"/>
        <rFont val="Calibri"/>
        <family val="2"/>
        <scheme val="minor"/>
      </rPr>
      <t>USD</t>
    </r>
  </si>
  <si>
    <r>
      <t xml:space="preserve">Expectancy Stack </t>
    </r>
    <r>
      <rPr>
        <i/>
        <sz val="11"/>
        <color theme="1"/>
        <rFont val="Calibri"/>
        <family val="2"/>
        <scheme val="minor"/>
      </rPr>
      <t>USD</t>
    </r>
  </si>
  <si>
    <r>
      <t xml:space="preserve">Expectancy Stack </t>
    </r>
    <r>
      <rPr>
        <i/>
        <sz val="11"/>
        <color theme="1"/>
        <rFont val="Calibri"/>
        <family val="2"/>
        <scheme val="minor"/>
      </rPr>
      <t>PIPS</t>
    </r>
  </si>
  <si>
    <t>News spike and change in sentiment</t>
  </si>
  <si>
    <t>November 8 04:50:46 2011 EST</t>
  </si>
  <si>
    <t xml:space="preserve"> November 8 05:07:19 2011 EST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</si>
</sst>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_(&quot;$&quot;* #,##0.000_);_(&quot;$&quot;* \(#,##0.000\);_(&quot;$&quot;* &quot;-&quot;???_);_(@_)"/>
    <numFmt numFmtId="165" formatCode="0.0%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i/>
      <sz val="14"/>
      <color rgb="FF7030A0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1">
    <xf numFmtId="0" fontId="0" fillId="0" borderId="0" xfId="0"/>
    <xf numFmtId="0" fontId="1" fillId="4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0" fillId="2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/>
    </xf>
    <xf numFmtId="0" fontId="1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/>
    <xf numFmtId="44" fontId="0" fillId="0" borderId="0" xfId="0" applyNumberFormat="1"/>
    <xf numFmtId="9" fontId="0" fillId="0" borderId="0" xfId="2" applyFont="1"/>
    <xf numFmtId="44" fontId="0" fillId="0" borderId="0" xfId="1" applyFont="1"/>
    <xf numFmtId="2" fontId="0" fillId="0" borderId="0" xfId="0" applyNumberFormat="1" applyAlignment="1">
      <alignment horizontal="center"/>
    </xf>
    <xf numFmtId="44" fontId="0" fillId="0" borderId="0" xfId="1" applyFont="1" applyAlignment="1">
      <alignment horizontal="center"/>
    </xf>
    <xf numFmtId="44" fontId="0" fillId="0" borderId="0" xfId="0" applyNumberForma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0" fillId="6" borderId="0" xfId="0" applyFill="1"/>
    <xf numFmtId="0" fontId="0" fillId="7" borderId="0" xfId="0" applyFill="1"/>
    <xf numFmtId="0" fontId="0" fillId="2" borderId="0" xfId="0" applyFill="1"/>
    <xf numFmtId="0" fontId="1" fillId="5" borderId="0" xfId="0" applyFont="1" applyFill="1" applyAlignment="1">
      <alignment horizontal="center" wrapText="1"/>
    </xf>
    <xf numFmtId="0" fontId="0" fillId="8" borderId="0" xfId="0" applyFill="1"/>
    <xf numFmtId="0" fontId="0" fillId="5" borderId="0" xfId="0" applyFill="1"/>
    <xf numFmtId="10" fontId="0" fillId="0" borderId="0" xfId="2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4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44" fontId="0" fillId="4" borderId="0" xfId="1" applyNumberFormat="1" applyFont="1" applyFill="1" applyAlignment="1">
      <alignment horizontal="center"/>
    </xf>
    <xf numFmtId="44" fontId="0" fillId="0" borderId="0" xfId="0" applyNumberFormat="1" applyAlignment="1" applyProtection="1">
      <alignment horizontal="center"/>
    </xf>
    <xf numFmtId="1" fontId="0" fillId="0" borderId="0" xfId="0" applyNumberFormat="1"/>
    <xf numFmtId="4" fontId="0" fillId="0" borderId="0" xfId="0" applyNumberFormat="1"/>
    <xf numFmtId="0" fontId="0" fillId="9" borderId="0" xfId="0" applyFill="1"/>
    <xf numFmtId="0" fontId="6" fillId="0" borderId="0" xfId="0" applyFont="1"/>
    <xf numFmtId="0" fontId="0" fillId="10" borderId="0" xfId="0" applyFill="1"/>
    <xf numFmtId="0" fontId="3" fillId="10" borderId="0" xfId="0" applyFont="1" applyFill="1"/>
    <xf numFmtId="0" fontId="7" fillId="10" borderId="0" xfId="0" applyFont="1" applyFill="1"/>
    <xf numFmtId="3" fontId="0" fillId="0" borderId="0" xfId="0" applyNumberFormat="1" applyAlignment="1">
      <alignment horizontal="center"/>
    </xf>
    <xf numFmtId="0" fontId="0" fillId="11" borderId="0" xfId="0" applyFill="1"/>
    <xf numFmtId="44" fontId="1" fillId="0" borderId="0" xfId="1" applyFont="1"/>
    <xf numFmtId="44" fontId="1" fillId="0" borderId="0" xfId="0" applyNumberFormat="1" applyFont="1"/>
    <xf numFmtId="0" fontId="0" fillId="0" borderId="0" xfId="0" applyFont="1"/>
    <xf numFmtId="12" fontId="0" fillId="0" borderId="0" xfId="0" applyNumberFormat="1" applyFont="1"/>
    <xf numFmtId="0" fontId="0" fillId="12" borderId="0" xfId="0" applyFill="1"/>
    <xf numFmtId="165" fontId="0" fillId="0" borderId="0" xfId="2" applyNumberFormat="1" applyFont="1"/>
    <xf numFmtId="0" fontId="0" fillId="0" borderId="0" xfId="0" applyAlignment="1">
      <alignment horizontal="center" wrapText="1"/>
    </xf>
    <xf numFmtId="9" fontId="8" fillId="0" borderId="0" xfId="0" applyNumberFormat="1" applyFont="1"/>
    <xf numFmtId="0" fontId="0" fillId="4" borderId="0" xfId="0" applyFill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FFFF66"/>
      <color rgb="FF33CC33"/>
      <color rgb="FFFF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Account Balance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rendline>
            <c:spPr>
              <a:ln w="12700">
                <a:solidFill>
                  <a:schemeClr val="accent3">
                    <a:lumMod val="50000"/>
                  </a:schemeClr>
                </a:solidFill>
              </a:ln>
            </c:spPr>
            <c:trendlineType val="exp"/>
          </c:trendline>
          <c:trendline>
            <c:spPr>
              <a:ln w="12700"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trendlineType val="movingAvg"/>
            <c:period val="5"/>
          </c:trendline>
          <c:errBars>
            <c:errDir val="y"/>
            <c:errBarType val="both"/>
            <c:errValType val="stdDev"/>
            <c:val val="1"/>
            <c:spPr>
              <a:ln w="12700">
                <a:solidFill>
                  <a:srgbClr val="FF0000">
                    <a:alpha val="50000"/>
                  </a:srgbClr>
                </a:solidFill>
                <a:prstDash val="solid"/>
              </a:ln>
            </c:spPr>
          </c:errBars>
          <c:val>
            <c:numRef>
              <c:f>Trades!$Q$2:$Q$24</c:f>
              <c:numCache>
                <c:formatCode>_("$"* #,##0.00_);_("$"* \(#,##0.00\);_("$"* "-"??_);_(@_)</c:formatCode>
                <c:ptCount val="23"/>
                <c:pt idx="0">
                  <c:v>5000</c:v>
                </c:pt>
                <c:pt idx="1">
                  <c:v>5170</c:v>
                </c:pt>
                <c:pt idx="2">
                  <c:v>5090</c:v>
                </c:pt>
                <c:pt idx="3">
                  <c:v>4949</c:v>
                </c:pt>
                <c:pt idx="4">
                  <c:v>5024</c:v>
                </c:pt>
                <c:pt idx="5">
                  <c:v>5479</c:v>
                </c:pt>
              </c:numCache>
            </c:numRef>
          </c:val>
        </c:ser>
        <c:hiLowLines/>
        <c:marker val="1"/>
        <c:axId val="116409856"/>
        <c:axId val="116411392"/>
      </c:lineChart>
      <c:catAx>
        <c:axId val="116409856"/>
        <c:scaling>
          <c:orientation val="minMax"/>
        </c:scaling>
        <c:axPos val="b"/>
        <c:majorTickMark val="none"/>
        <c:tickLblPos val="nextTo"/>
        <c:crossAx val="116411392"/>
        <c:crosses val="autoZero"/>
        <c:auto val="1"/>
        <c:lblAlgn val="ctr"/>
        <c:lblOffset val="100"/>
      </c:catAx>
      <c:valAx>
        <c:axId val="11641139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 CAPITAL</a:t>
                </a:r>
              </a:p>
            </c:rich>
          </c:tx>
          <c:layout/>
        </c:title>
        <c:numFmt formatCode="_(&quot;$&quot;* #,##0.00_);_(&quot;$&quot;* \(#,##0.00\);_(&quot;$&quot;* &quot;-&quot;??_);_(@_)" sourceLinked="1"/>
        <c:majorTickMark val="none"/>
        <c:tickLblPos val="nextTo"/>
        <c:crossAx val="1164098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8056910534653116E-2"/>
          <c:y val="0.13650461737785252"/>
          <c:w val="0.88284245367967595"/>
          <c:h val="0.82747748530184106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yVal>
            <c:numRef>
              <c:f>Trades!$O$3:$O$24</c:f>
              <c:numCache>
                <c:formatCode>0.00%</c:formatCode>
                <c:ptCount val="22"/>
                <c:pt idx="0">
                  <c:v>3.4000000000000002E-2</c:v>
                </c:pt>
                <c:pt idx="1">
                  <c:v>-1.5473887814313346E-2</c:v>
                </c:pt>
                <c:pt idx="2">
                  <c:v>-2.7701375245579567E-2</c:v>
                </c:pt>
                <c:pt idx="3">
                  <c:v>1.5154576682158012E-2</c:v>
                </c:pt>
                <c:pt idx="4">
                  <c:v>9.0565286624203822E-2</c:v>
                </c:pt>
              </c:numCache>
            </c:numRef>
          </c:yVal>
        </c:ser>
        <c:axId val="116440064"/>
        <c:axId val="116446336"/>
      </c:scatterChart>
      <c:valAx>
        <c:axId val="116440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Trade</a:t>
                </a:r>
                <a:r>
                  <a:rPr lang="en-US" baseline="0"/>
                  <a:t> Taken in Chrono order</a:t>
                </a:r>
              </a:p>
            </c:rich>
          </c:tx>
          <c:layout/>
        </c:title>
        <c:tickLblPos val="nextTo"/>
        <c:crossAx val="116446336"/>
        <c:crosses val="autoZero"/>
        <c:crossBetween val="midCat"/>
      </c:valAx>
      <c:valAx>
        <c:axId val="1164463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Captial </a:t>
                </a:r>
              </a:p>
            </c:rich>
          </c:tx>
          <c:layout>
            <c:manualLayout>
              <c:xMode val="edge"/>
              <c:yMode val="edge"/>
              <c:x val="0"/>
              <c:y val="0.48462287497420253"/>
            </c:manualLayout>
          </c:layout>
        </c:title>
        <c:numFmt formatCode="0.00%" sourceLinked="1"/>
        <c:tickLblPos val="nextTo"/>
        <c:crossAx val="116440064"/>
        <c:crosses val="autoZero"/>
        <c:crossBetween val="midCat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Pips</a:t>
            </a:r>
            <a:r>
              <a:rPr lang="en-US" baseline="0"/>
              <a:t> vs R:R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Trades!$M$3:$M$24</c:f>
              <c:numCache>
                <c:formatCode>#,##0.00</c:formatCode>
                <c:ptCount val="22"/>
                <c:pt idx="0">
                  <c:v>1.0618556701031567</c:v>
                </c:pt>
                <c:pt idx="1">
                  <c:v>1.2844827586206269</c:v>
                </c:pt>
                <c:pt idx="2">
                  <c:v>1.5380710659898711</c:v>
                </c:pt>
                <c:pt idx="3">
                  <c:v>0.9497206703911355</c:v>
                </c:pt>
                <c:pt idx="4">
                  <c:v>0.9426751592357161</c:v>
                </c:pt>
              </c:numCache>
            </c:numRef>
          </c:xVal>
          <c:yVal>
            <c:numRef>
              <c:f>Trades!$N$3:$N$24</c:f>
              <c:numCache>
                <c:formatCode>General</c:formatCode>
                <c:ptCount val="22"/>
                <c:pt idx="0">
                  <c:v>20.200000000000216</c:v>
                </c:pt>
                <c:pt idx="1">
                  <c:v>-10.399999999999299</c:v>
                </c:pt>
                <c:pt idx="2">
                  <c:v>-19.700000000000273</c:v>
                </c:pt>
                <c:pt idx="3">
                  <c:v>12.000000000000455</c:v>
                </c:pt>
                <c:pt idx="4">
                  <c:v>22.600000000000399</c:v>
                </c:pt>
              </c:numCache>
            </c:numRef>
          </c:yVal>
        </c:ser>
        <c:dLbls/>
        <c:axId val="116458240"/>
        <c:axId val="116460160"/>
      </c:scatterChart>
      <c:valAx>
        <c:axId val="116458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Reward</a:t>
                </a:r>
                <a:r>
                  <a:rPr lang="en-US" baseline="0"/>
                  <a:t> : Risk Ratio</a:t>
                </a:r>
              </a:p>
            </c:rich>
          </c:tx>
          <c:layout/>
        </c:title>
        <c:numFmt formatCode="#,##0.00" sourceLinked="1"/>
        <c:majorTickMark val="none"/>
        <c:tickLblPos val="nextTo"/>
        <c:crossAx val="116460160"/>
        <c:crosses val="autoZero"/>
        <c:crossBetween val="midCat"/>
      </c:valAx>
      <c:valAx>
        <c:axId val="1164601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Pips Gained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164582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Capital Gained vs R:R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1597967592693759"/>
          <c:y val="0.11356966006779518"/>
          <c:w val="0.84436971028498764"/>
          <c:h val="0.85646402499282737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Trades!$M$3:$M$24</c:f>
              <c:numCache>
                <c:formatCode>#,##0.00</c:formatCode>
                <c:ptCount val="22"/>
                <c:pt idx="0">
                  <c:v>1.0618556701031567</c:v>
                </c:pt>
                <c:pt idx="1">
                  <c:v>1.2844827586206269</c:v>
                </c:pt>
                <c:pt idx="2">
                  <c:v>1.5380710659898711</c:v>
                </c:pt>
                <c:pt idx="3">
                  <c:v>0.9497206703911355</c:v>
                </c:pt>
                <c:pt idx="4">
                  <c:v>0.9426751592357161</c:v>
                </c:pt>
              </c:numCache>
            </c:numRef>
          </c:xVal>
          <c:yVal>
            <c:numRef>
              <c:f>Trades!$P$3:$P$24</c:f>
              <c:numCache>
                <c:formatCode>_("$"* #,##0.00_);_("$"* \(#,##0.00\);_("$"* "-"??_);_(@_)</c:formatCode>
                <c:ptCount val="22"/>
                <c:pt idx="0">
                  <c:v>170</c:v>
                </c:pt>
                <c:pt idx="1">
                  <c:v>-80</c:v>
                </c:pt>
                <c:pt idx="2">
                  <c:v>-141</c:v>
                </c:pt>
                <c:pt idx="3">
                  <c:v>75</c:v>
                </c:pt>
                <c:pt idx="4">
                  <c:v>455</c:v>
                </c:pt>
              </c:numCache>
            </c:numRef>
          </c:yVal>
        </c:ser>
        <c:axId val="116499968"/>
        <c:axId val="116501888"/>
      </c:scatterChart>
      <c:valAx>
        <c:axId val="1164999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Reward:Risk Ratio</a:t>
                </a:r>
              </a:p>
            </c:rich>
          </c:tx>
          <c:layout/>
        </c:title>
        <c:numFmt formatCode="#,##0.00" sourceLinked="1"/>
        <c:tickLblPos val="nextTo"/>
        <c:crossAx val="116501888"/>
        <c:crosses val="autoZero"/>
        <c:crossBetween val="midCat"/>
      </c:valAx>
      <c:valAx>
        <c:axId val="1165018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Capital</a:t>
                </a:r>
                <a:r>
                  <a:rPr lang="en-US" baseline="0"/>
                  <a:t> USD</a:t>
                </a:r>
              </a:p>
            </c:rich>
          </c:tx>
          <c:layout/>
        </c:title>
        <c:numFmt formatCode="_(&quot;$&quot;* #,##0.00_);_(&quot;$&quot;* \(#,##0.00\);_(&quot;$&quot;* &quot;-&quot;??_);_(@_)" sourceLinked="1"/>
        <c:tickLblPos val="nextTo"/>
        <c:crossAx val="116499968"/>
        <c:crosses val="autoZero"/>
        <c:crossBetween val="midCat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</xdr:row>
      <xdr:rowOff>76200</xdr:rowOff>
    </xdr:from>
    <xdr:to>
      <xdr:col>12</xdr:col>
      <xdr:colOff>257175</xdr:colOff>
      <xdr:row>22</xdr:row>
      <xdr:rowOff>0</xdr:rowOff>
    </xdr:to>
    <xdr:graphicFrame macro="">
      <xdr:nvGraphicFramePr>
        <xdr:cNvPr id="3" name="Account Balanc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190500</xdr:colOff>
      <xdr:row>22</xdr:row>
      <xdr:rowOff>38099</xdr:rowOff>
    </xdr:from>
    <xdr:to>
      <xdr:col>10</xdr:col>
      <xdr:colOff>600076</xdr:colOff>
      <xdr:row>40</xdr:row>
      <xdr:rowOff>142875</xdr:rowOff>
    </xdr:to>
    <xdr:graphicFrame macro="">
      <xdr:nvGraphicFramePr>
        <xdr:cNvPr id="4" name="% Profit/Los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180974</xdr:colOff>
      <xdr:row>40</xdr:row>
      <xdr:rowOff>161925</xdr:rowOff>
    </xdr:from>
    <xdr:to>
      <xdr:col>10</xdr:col>
      <xdr:colOff>304800</xdr:colOff>
      <xdr:row>62</xdr:row>
      <xdr:rowOff>190499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333375</xdr:colOff>
      <xdr:row>40</xdr:row>
      <xdr:rowOff>133350</xdr:rowOff>
    </xdr:from>
    <xdr:to>
      <xdr:col>20</xdr:col>
      <xdr:colOff>123825</xdr:colOff>
      <xdr:row>63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5"/>
  <sheetViews>
    <sheetView tabSelected="1" zoomScale="80" zoomScaleNormal="80" workbookViewId="0">
      <pane ySplit="1" topLeftCell="A2" activePane="bottomLeft" state="frozen"/>
      <selection pane="bottomLeft" activeCell="K14" sqref="K14"/>
    </sheetView>
  </sheetViews>
  <sheetFormatPr defaultRowHeight="15"/>
  <cols>
    <col min="1" max="1" width="16.85546875" style="9" customWidth="1"/>
    <col min="2" max="2" width="12" style="9" customWidth="1"/>
    <col min="3" max="3" width="14.28515625" style="9" customWidth="1"/>
    <col min="4" max="4" width="9.140625" style="9"/>
    <col min="5" max="5" width="10" style="9" bestFit="1" customWidth="1"/>
    <col min="6" max="9" width="9.140625" style="9"/>
    <col min="10" max="10" width="30.140625" style="9" customWidth="1"/>
    <col min="11" max="11" width="31.140625" style="9" customWidth="1"/>
    <col min="12" max="12" width="19.7109375" style="9" customWidth="1"/>
    <col min="13" max="13" width="12.5703125" style="9" bestFit="1" customWidth="1"/>
    <col min="14" max="14" width="9.42578125" style="9" customWidth="1"/>
    <col min="15" max="15" width="9.5703125" style="9" customWidth="1"/>
    <col min="16" max="16" width="10.42578125" style="9" customWidth="1"/>
    <col min="17" max="17" width="14.7109375" style="9" customWidth="1"/>
    <col min="18" max="18" width="42.5703125" style="9" customWidth="1"/>
    <col min="19" max="19" width="11.5703125" style="9" customWidth="1"/>
    <col min="20" max="20" width="9.140625" style="9"/>
    <col min="21" max="21" width="12" style="9" customWidth="1"/>
    <col min="22" max="16384" width="9.140625" style="9"/>
  </cols>
  <sheetData>
    <row r="1" spans="1:20" ht="45">
      <c r="A1" s="2" t="s">
        <v>1</v>
      </c>
      <c r="B1" s="2" t="s">
        <v>0</v>
      </c>
      <c r="C1" s="2" t="s">
        <v>12</v>
      </c>
      <c r="D1" s="2" t="s">
        <v>10</v>
      </c>
      <c r="E1" s="2" t="s">
        <v>23</v>
      </c>
      <c r="F1" s="2" t="s">
        <v>24</v>
      </c>
      <c r="G1" s="2" t="s">
        <v>2</v>
      </c>
      <c r="H1" s="2" t="s">
        <v>3</v>
      </c>
      <c r="I1" s="2" t="s">
        <v>19</v>
      </c>
      <c r="J1" s="2" t="s">
        <v>7</v>
      </c>
      <c r="K1" s="2" t="s">
        <v>9</v>
      </c>
      <c r="L1" s="6" t="s">
        <v>18</v>
      </c>
      <c r="M1" s="1" t="s">
        <v>15</v>
      </c>
      <c r="N1" s="1" t="s">
        <v>4</v>
      </c>
      <c r="O1" s="1" t="s">
        <v>5</v>
      </c>
      <c r="P1" s="1" t="s">
        <v>6</v>
      </c>
      <c r="Q1" s="1" t="s">
        <v>14</v>
      </c>
      <c r="R1" s="28" t="s">
        <v>53</v>
      </c>
      <c r="S1" s="22" t="s">
        <v>41</v>
      </c>
    </row>
    <row r="2" spans="1:20">
      <c r="A2" s="3"/>
      <c r="B2" s="3"/>
      <c r="C2" s="3" t="s">
        <v>13</v>
      </c>
      <c r="D2" s="3" t="s">
        <v>11</v>
      </c>
      <c r="E2" s="8" t="s">
        <v>20</v>
      </c>
      <c r="F2" s="8" t="s">
        <v>20</v>
      </c>
      <c r="G2" s="8" t="s">
        <v>20</v>
      </c>
      <c r="H2" s="8" t="s">
        <v>20</v>
      </c>
      <c r="I2" s="8" t="s">
        <v>17</v>
      </c>
      <c r="J2" s="3" t="s">
        <v>8</v>
      </c>
      <c r="K2" s="3" t="s">
        <v>8</v>
      </c>
      <c r="L2" s="7" t="s">
        <v>84</v>
      </c>
      <c r="M2" s="4" t="s">
        <v>16</v>
      </c>
      <c r="N2" s="4"/>
      <c r="O2" s="5"/>
      <c r="P2" s="30"/>
      <c r="Q2" s="31">
        <v>5000</v>
      </c>
      <c r="R2" s="48"/>
      <c r="T2" s="9" t="s">
        <v>72</v>
      </c>
    </row>
    <row r="3" spans="1:20">
      <c r="A3" s="9">
        <v>4572135</v>
      </c>
      <c r="B3" s="9" t="s">
        <v>21</v>
      </c>
      <c r="C3" s="9" t="s">
        <v>22</v>
      </c>
      <c r="D3" s="9">
        <v>3460</v>
      </c>
      <c r="E3" s="9">
        <v>0.90434000000000003</v>
      </c>
      <c r="F3" s="9">
        <v>0.90636000000000005</v>
      </c>
      <c r="G3" s="9">
        <v>0.9083</v>
      </c>
      <c r="H3" s="9">
        <v>0.90429999999999999</v>
      </c>
      <c r="I3" s="25">
        <v>0.01</v>
      </c>
      <c r="J3" s="9" t="s">
        <v>109</v>
      </c>
      <c r="K3" s="9" t="s">
        <v>110</v>
      </c>
      <c r="L3" s="9" t="s">
        <v>85</v>
      </c>
      <c r="M3" s="29">
        <f t="shared" ref="M3:M20" si="0">ABS(IF(RIGHT(B3,3)="JPY",IF(C3="Short",((H3-F3)*100)/((G3-F3)*100),(((H3-E3)*100)/(E3-G3)*100)),IF(C3="Short",((H3-F3)*10000)/((G3-F3)*10000),(((H3-E3)*10000)/((E3-G3)*10000)))))</f>
        <v>1.0618556701031567</v>
      </c>
      <c r="N3" s="9">
        <f>IF(C3="Short",-(IF(RIGHT(B3,3)="JPY",(E3-F3)*100,(E3-F3)*10000)),IF(RIGHT(B3,3)="JPY",(E3-F3)*100,(E3-F3)*10000))</f>
        <v>20.200000000000216</v>
      </c>
      <c r="O3" s="25">
        <f t="shared" ref="O3:O21" si="1">P3/Q2</f>
        <v>3.4000000000000002E-2</v>
      </c>
      <c r="P3" s="15">
        <v>170</v>
      </c>
      <c r="Q3" s="16">
        <f t="shared" ref="Q3:Q9" si="2">Q2+P3</f>
        <v>5170</v>
      </c>
      <c r="R3" s="48"/>
      <c r="T3" s="9" t="str">
        <f>IF(P3:P21&gt;0,"W","L")</f>
        <v>W</v>
      </c>
    </row>
    <row r="4" spans="1:20">
      <c r="A4" s="9">
        <v>6571345</v>
      </c>
      <c r="B4" s="9" t="s">
        <v>47</v>
      </c>
      <c r="C4" s="9" t="s">
        <v>48</v>
      </c>
      <c r="D4" s="9">
        <v>2500</v>
      </c>
      <c r="E4" s="9">
        <v>1.04532</v>
      </c>
      <c r="F4" s="9">
        <v>1.0442800000000001</v>
      </c>
      <c r="G4" s="9">
        <v>1.0429999999999999</v>
      </c>
      <c r="H4" s="9">
        <v>1.0483</v>
      </c>
      <c r="I4" s="26">
        <v>0.01</v>
      </c>
      <c r="J4" s="9" t="s">
        <v>49</v>
      </c>
      <c r="K4" s="9" t="s">
        <v>50</v>
      </c>
      <c r="L4" s="9" t="s">
        <v>85</v>
      </c>
      <c r="M4" s="29">
        <f t="shared" si="0"/>
        <v>1.2844827586206269</v>
      </c>
      <c r="N4" s="9">
        <f t="shared" ref="N4:N23" si="3">IF(C4="Short",-(IF(RIGHT(B4,3)="JPY",(E4-F4)*100,(E4-F4)*10000)),IF(RIGHT(B4,3)="JPY",(F4-E4)*100,(F4-E4)*10000))</f>
        <v>-10.399999999999299</v>
      </c>
      <c r="O4" s="25">
        <f t="shared" si="1"/>
        <v>-1.5473887814313346E-2</v>
      </c>
      <c r="P4" s="15">
        <v>-80</v>
      </c>
      <c r="Q4" s="16">
        <f t="shared" si="2"/>
        <v>5090</v>
      </c>
      <c r="R4" s="48"/>
      <c r="T4" s="9" t="str">
        <f t="shared" ref="T4:T49" si="4">IF(P4:P22&gt;0,"W","L")</f>
        <v>L</v>
      </c>
    </row>
    <row r="5" spans="1:20">
      <c r="A5" s="9">
        <v>9784512</v>
      </c>
      <c r="B5" s="9" t="s">
        <v>47</v>
      </c>
      <c r="C5" s="9" t="s">
        <v>48</v>
      </c>
      <c r="D5" s="9">
        <v>2500</v>
      </c>
      <c r="E5" s="9">
        <v>1.0431699999999999</v>
      </c>
      <c r="F5" s="9">
        <v>1.0411999999999999</v>
      </c>
      <c r="G5" s="9">
        <v>1.0411999999999999</v>
      </c>
      <c r="H5" s="9">
        <v>1.0462</v>
      </c>
      <c r="I5" s="26">
        <v>0.01</v>
      </c>
      <c r="J5" s="9" t="s">
        <v>51</v>
      </c>
      <c r="K5" s="9" t="s">
        <v>52</v>
      </c>
      <c r="L5" s="9" t="s">
        <v>86</v>
      </c>
      <c r="M5" s="29">
        <f t="shared" si="0"/>
        <v>1.5380710659898711</v>
      </c>
      <c r="N5" s="9">
        <f t="shared" si="3"/>
        <v>-19.700000000000273</v>
      </c>
      <c r="O5" s="25">
        <f t="shared" si="1"/>
        <v>-2.7701375245579567E-2</v>
      </c>
      <c r="P5" s="15">
        <v>-141</v>
      </c>
      <c r="Q5" s="16">
        <f t="shared" si="2"/>
        <v>4949</v>
      </c>
      <c r="R5" s="48" t="s">
        <v>108</v>
      </c>
      <c r="T5" s="9" t="str">
        <f t="shared" si="4"/>
        <v>L</v>
      </c>
    </row>
    <row r="6" spans="1:20">
      <c r="A6" s="9">
        <v>6574145</v>
      </c>
      <c r="B6" s="9" t="s">
        <v>54</v>
      </c>
      <c r="C6" s="9" t="s">
        <v>22</v>
      </c>
      <c r="D6" s="9">
        <v>4070</v>
      </c>
      <c r="E6" s="9">
        <v>77.551000000000002</v>
      </c>
      <c r="F6" s="9">
        <v>77.671000000000006</v>
      </c>
      <c r="G6" s="9">
        <v>77.849999999999994</v>
      </c>
      <c r="H6" s="9">
        <v>77.501000000000005</v>
      </c>
      <c r="I6" s="26">
        <v>0.01</v>
      </c>
      <c r="J6" s="9" t="s">
        <v>55</v>
      </c>
      <c r="K6" s="9" t="s">
        <v>56</v>
      </c>
      <c r="L6" s="9" t="s">
        <v>86</v>
      </c>
      <c r="M6" s="29">
        <f t="shared" si="0"/>
        <v>0.9497206703911355</v>
      </c>
      <c r="N6" s="9">
        <f t="shared" si="3"/>
        <v>12.000000000000455</v>
      </c>
      <c r="O6" s="25">
        <f>P6/Q5</f>
        <v>1.5154576682158012E-2</v>
      </c>
      <c r="P6" s="15">
        <v>75</v>
      </c>
      <c r="Q6" s="16">
        <f>Q5+P6</f>
        <v>5024</v>
      </c>
      <c r="R6" s="48"/>
      <c r="T6" s="9" t="str">
        <f t="shared" si="4"/>
        <v>W</v>
      </c>
    </row>
    <row r="7" spans="1:20">
      <c r="A7" s="9">
        <v>3578412</v>
      </c>
      <c r="B7" s="9" t="s">
        <v>58</v>
      </c>
      <c r="C7" s="9" t="s">
        <v>48</v>
      </c>
      <c r="D7" s="9">
        <v>9200</v>
      </c>
      <c r="E7" s="9">
        <v>0.84943999999999997</v>
      </c>
      <c r="F7" s="9">
        <v>0.85170000000000001</v>
      </c>
      <c r="G7" s="9">
        <v>0.84630000000000005</v>
      </c>
      <c r="H7" s="9">
        <v>0.85240000000000005</v>
      </c>
      <c r="I7" s="26">
        <v>0.01</v>
      </c>
      <c r="J7" s="9" t="s">
        <v>57</v>
      </c>
      <c r="K7" s="9" t="s">
        <v>81</v>
      </c>
      <c r="L7" s="9" t="s">
        <v>85</v>
      </c>
      <c r="M7" s="29">
        <f t="shared" si="0"/>
        <v>0.9426751592357161</v>
      </c>
      <c r="N7" s="9">
        <f t="shared" si="3"/>
        <v>22.600000000000399</v>
      </c>
      <c r="O7" s="25">
        <f t="shared" si="1"/>
        <v>9.0565286624203822E-2</v>
      </c>
      <c r="P7" s="15">
        <v>455</v>
      </c>
      <c r="Q7" s="16">
        <f t="shared" si="2"/>
        <v>5479</v>
      </c>
      <c r="R7" s="48" t="s">
        <v>59</v>
      </c>
      <c r="T7" s="9" t="str">
        <f t="shared" si="4"/>
        <v>W</v>
      </c>
    </row>
    <row r="8" spans="1:20">
      <c r="I8" s="26"/>
      <c r="M8" s="29"/>
      <c r="O8" s="25"/>
      <c r="P8" s="15"/>
      <c r="Q8" s="16"/>
      <c r="R8" s="48"/>
    </row>
    <row r="9" spans="1:20">
      <c r="I9" s="26"/>
      <c r="M9" s="29"/>
      <c r="O9" s="25"/>
      <c r="P9" s="15"/>
      <c r="Q9" s="16"/>
      <c r="R9" s="48"/>
    </row>
    <row r="10" spans="1:20">
      <c r="I10" s="26"/>
      <c r="M10" s="29"/>
      <c r="O10" s="25"/>
      <c r="P10" s="15"/>
      <c r="Q10" s="16"/>
      <c r="R10" s="48"/>
    </row>
    <row r="11" spans="1:20">
      <c r="I11" s="26"/>
      <c r="M11" s="29"/>
      <c r="O11" s="25"/>
      <c r="P11" s="15"/>
      <c r="Q11" s="32"/>
      <c r="R11" s="48"/>
    </row>
    <row r="12" spans="1:20">
      <c r="I12" s="26"/>
      <c r="M12" s="29"/>
      <c r="O12" s="25"/>
      <c r="P12" s="15"/>
      <c r="Q12" s="16"/>
      <c r="R12" s="48"/>
    </row>
    <row r="13" spans="1:20">
      <c r="I13" s="25"/>
      <c r="M13" s="14"/>
      <c r="O13" s="25"/>
      <c r="P13" s="15"/>
      <c r="Q13" s="32"/>
      <c r="R13" s="48"/>
    </row>
    <row r="14" spans="1:20">
      <c r="I14" s="26"/>
      <c r="M14" s="29"/>
      <c r="O14" s="25"/>
      <c r="P14" s="15"/>
      <c r="Q14" s="16"/>
      <c r="R14" s="48"/>
    </row>
    <row r="15" spans="1:20">
      <c r="I15" s="26"/>
      <c r="M15" s="29"/>
      <c r="O15" s="25"/>
      <c r="P15" s="15"/>
      <c r="Q15" s="16"/>
      <c r="R15" s="48"/>
    </row>
    <row r="16" spans="1:20">
      <c r="I16" s="26"/>
      <c r="M16" s="29"/>
      <c r="O16" s="25"/>
      <c r="P16" s="15"/>
      <c r="Q16" s="16"/>
      <c r="R16" s="48"/>
    </row>
    <row r="17" spans="4:19">
      <c r="I17" s="26"/>
      <c r="M17" s="29"/>
      <c r="O17" s="25"/>
      <c r="P17" s="15"/>
      <c r="Q17" s="16"/>
      <c r="R17" s="48"/>
    </row>
    <row r="18" spans="4:19">
      <c r="I18" s="26"/>
      <c r="M18" s="29"/>
      <c r="O18" s="25"/>
      <c r="P18" s="15"/>
      <c r="Q18" s="16"/>
      <c r="R18" s="48"/>
    </row>
    <row r="19" spans="4:19">
      <c r="I19" s="26"/>
      <c r="M19" s="29"/>
      <c r="O19" s="25"/>
      <c r="P19" s="15"/>
      <c r="Q19" s="16"/>
      <c r="R19" s="48"/>
    </row>
    <row r="20" spans="4:19">
      <c r="I20" s="26"/>
      <c r="M20" s="29"/>
      <c r="O20" s="25"/>
      <c r="P20" s="15"/>
      <c r="Q20" s="16"/>
      <c r="R20" s="48"/>
    </row>
    <row r="21" spans="4:19">
      <c r="I21" s="26"/>
      <c r="M21" s="29"/>
      <c r="O21" s="25"/>
      <c r="P21" s="15"/>
      <c r="Q21" s="16"/>
      <c r="R21" s="48"/>
      <c r="S21" s="29"/>
    </row>
    <row r="22" spans="4:19">
      <c r="D22" s="40"/>
      <c r="I22" s="26"/>
      <c r="M22" s="29"/>
      <c r="O22" s="25"/>
      <c r="P22" s="15"/>
      <c r="Q22" s="15"/>
      <c r="R22" s="48"/>
    </row>
    <row r="23" spans="4:19">
      <c r="D23" s="40"/>
      <c r="I23" s="26"/>
      <c r="M23" s="29"/>
      <c r="O23" s="26"/>
      <c r="P23" s="15"/>
      <c r="Q23" s="27"/>
      <c r="R23" s="48"/>
    </row>
    <row r="24" spans="4:19">
      <c r="D24" s="40"/>
      <c r="I24" s="26"/>
      <c r="M24" s="29"/>
      <c r="O24" s="26"/>
      <c r="P24" s="15"/>
      <c r="Q24" s="27"/>
      <c r="R24" s="48"/>
    </row>
    <row r="25" spans="4:19">
      <c r="D25" s="40"/>
      <c r="I25" s="26"/>
      <c r="M25" s="29"/>
      <c r="O25" s="26"/>
      <c r="P25" s="15"/>
      <c r="Q25" s="27"/>
      <c r="R25" s="48"/>
    </row>
    <row r="26" spans="4:19">
      <c r="M26" s="29"/>
      <c r="O26" s="26"/>
      <c r="P26" s="15"/>
      <c r="Q26" s="27"/>
      <c r="R26" s="48"/>
    </row>
    <row r="27" spans="4:19">
      <c r="D27" s="40"/>
      <c r="I27" s="26"/>
      <c r="M27" s="29"/>
      <c r="O27" s="26"/>
      <c r="P27" s="15"/>
      <c r="Q27" s="27"/>
      <c r="R27" s="48"/>
    </row>
    <row r="28" spans="4:19">
      <c r="D28" s="40"/>
      <c r="I28" s="26"/>
      <c r="M28" s="29"/>
      <c r="O28" s="26"/>
      <c r="P28" s="15"/>
      <c r="Q28" s="27"/>
      <c r="R28" s="48"/>
    </row>
    <row r="29" spans="4:19">
      <c r="D29" s="40"/>
      <c r="I29" s="26"/>
      <c r="M29" s="29"/>
      <c r="O29" s="26"/>
      <c r="P29" s="15"/>
      <c r="Q29" s="27"/>
      <c r="R29" s="48"/>
    </row>
    <row r="30" spans="4:19">
      <c r="D30" s="40"/>
      <c r="I30" s="26"/>
      <c r="M30" s="14"/>
      <c r="O30" s="26"/>
      <c r="P30" s="15"/>
      <c r="Q30" s="27"/>
      <c r="R30" s="48"/>
    </row>
    <row r="31" spans="4:19">
      <c r="D31" s="40"/>
      <c r="I31" s="26"/>
      <c r="M31" s="14"/>
      <c r="O31" s="26"/>
      <c r="P31" s="15"/>
      <c r="Q31" s="27"/>
      <c r="R31" s="48"/>
    </row>
    <row r="32" spans="4:19">
      <c r="I32" s="26"/>
      <c r="M32" s="14"/>
      <c r="O32" s="26"/>
      <c r="P32" s="15"/>
      <c r="Q32" s="27"/>
      <c r="R32" s="48"/>
    </row>
    <row r="33" spans="4:18">
      <c r="D33" s="40"/>
      <c r="I33" s="26"/>
      <c r="M33" s="14"/>
      <c r="O33" s="26"/>
      <c r="P33" s="15"/>
      <c r="Q33" s="27"/>
      <c r="R33" s="48"/>
    </row>
    <row r="34" spans="4:18">
      <c r="I34" s="26"/>
      <c r="M34" s="14"/>
      <c r="O34" s="26"/>
      <c r="P34" s="15"/>
      <c r="Q34" s="27"/>
      <c r="R34" s="48"/>
    </row>
    <row r="35" spans="4:18">
      <c r="I35" s="26"/>
      <c r="M35" s="14"/>
      <c r="O35" s="26"/>
      <c r="P35" s="15"/>
      <c r="Q35" s="27"/>
      <c r="R35" s="48"/>
    </row>
    <row r="36" spans="4:18">
      <c r="I36" s="26"/>
      <c r="M36" s="14"/>
      <c r="O36" s="26"/>
      <c r="P36" s="15"/>
      <c r="Q36" s="27"/>
      <c r="R36" s="48"/>
    </row>
    <row r="37" spans="4:18">
      <c r="I37" s="26"/>
      <c r="M37" s="14"/>
      <c r="O37" s="26"/>
      <c r="P37" s="15"/>
      <c r="Q37" s="27"/>
      <c r="R37" s="48"/>
    </row>
    <row r="38" spans="4:18">
      <c r="I38" s="26"/>
      <c r="M38" s="14"/>
      <c r="O38" s="26"/>
      <c r="P38" s="15"/>
      <c r="Q38" s="27"/>
      <c r="R38" s="48"/>
    </row>
    <row r="39" spans="4:18">
      <c r="I39" s="26"/>
      <c r="M39" s="14"/>
      <c r="O39" s="26"/>
      <c r="P39" s="15"/>
      <c r="Q39" s="27"/>
      <c r="R39" s="48"/>
    </row>
    <row r="40" spans="4:18">
      <c r="D40" s="40"/>
      <c r="I40" s="26"/>
      <c r="M40" s="14"/>
      <c r="O40" s="26"/>
      <c r="P40" s="15"/>
      <c r="Q40" s="27"/>
      <c r="R40" s="48"/>
    </row>
    <row r="41" spans="4:18">
      <c r="I41" s="26"/>
      <c r="M41" s="14"/>
      <c r="O41" s="26"/>
      <c r="P41" s="15"/>
      <c r="Q41" s="27"/>
    </row>
    <row r="42" spans="4:18">
      <c r="I42" s="26"/>
      <c r="M42" s="14"/>
      <c r="O42" s="26"/>
      <c r="P42" s="15"/>
      <c r="Q42" s="27"/>
    </row>
    <row r="43" spans="4:18">
      <c r="D43" s="40"/>
      <c r="I43" s="26"/>
      <c r="M43" s="14"/>
      <c r="O43" s="26"/>
      <c r="P43" s="15"/>
      <c r="Q43" s="27"/>
    </row>
    <row r="44" spans="4:18">
      <c r="I44" s="26"/>
      <c r="M44" s="14"/>
      <c r="O44" s="26"/>
      <c r="P44" s="15"/>
      <c r="Q44" s="27"/>
    </row>
    <row r="45" spans="4:18">
      <c r="I45" s="26"/>
      <c r="M45" s="14"/>
      <c r="O45" s="26"/>
      <c r="P45" s="15"/>
      <c r="Q45" s="27"/>
    </row>
    <row r="46" spans="4:18">
      <c r="I46" s="26"/>
      <c r="M46" s="14"/>
      <c r="O46" s="26"/>
      <c r="P46" s="15"/>
      <c r="Q46" s="27"/>
    </row>
    <row r="47" spans="4:18">
      <c r="I47" s="26"/>
      <c r="M47" s="14"/>
      <c r="O47" s="26"/>
      <c r="P47" s="15"/>
      <c r="Q47" s="27"/>
    </row>
    <row r="48" spans="4:18">
      <c r="I48" s="26"/>
      <c r="M48" s="14"/>
      <c r="O48" s="26"/>
      <c r="P48" s="15"/>
      <c r="Q48" s="27"/>
    </row>
    <row r="49" spans="4:17">
      <c r="D49" s="40"/>
      <c r="I49" s="26"/>
      <c r="M49" s="14"/>
      <c r="O49" s="26"/>
      <c r="P49" s="15"/>
      <c r="Q49" s="27"/>
    </row>
    <row r="50" spans="4:17">
      <c r="I50" s="26"/>
      <c r="M50" s="14"/>
    </row>
    <row r="51" spans="4:17">
      <c r="I51" s="26"/>
      <c r="M51" s="14"/>
    </row>
    <row r="52" spans="4:17">
      <c r="I52" s="26"/>
      <c r="M52" s="14"/>
    </row>
    <row r="53" spans="4:17">
      <c r="I53" s="26"/>
      <c r="M53" s="14"/>
    </row>
    <row r="54" spans="4:17">
      <c r="I54" s="26"/>
      <c r="M54" s="14"/>
    </row>
    <row r="55" spans="4:17">
      <c r="I55" s="26"/>
      <c r="M55" s="14"/>
    </row>
    <row r="56" spans="4:17">
      <c r="I56" s="26"/>
      <c r="M56" s="14"/>
    </row>
    <row r="57" spans="4:17">
      <c r="I57" s="26"/>
      <c r="M57" s="14"/>
    </row>
    <row r="58" spans="4:17">
      <c r="I58" s="26"/>
      <c r="M58" s="14"/>
    </row>
    <row r="59" spans="4:17">
      <c r="I59" s="26"/>
    </row>
    <row r="60" spans="4:17">
      <c r="I60" s="26"/>
    </row>
    <row r="61" spans="4:17">
      <c r="I61" s="26"/>
    </row>
    <row r="62" spans="4:17">
      <c r="I62" s="26"/>
    </row>
    <row r="63" spans="4:17">
      <c r="I63" s="26"/>
    </row>
    <row r="64" spans="4:17">
      <c r="I64" s="26"/>
    </row>
    <row r="65" spans="9:9">
      <c r="I65" s="26"/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"/>
  <sheetViews>
    <sheetView zoomScale="90" zoomScaleNormal="90" workbookViewId="0">
      <selection activeCell="D11" sqref="D11"/>
    </sheetView>
  </sheetViews>
  <sheetFormatPr defaultRowHeight="15"/>
  <cols>
    <col min="1" max="1" width="36" customWidth="1"/>
    <col min="2" max="2" width="18.140625" customWidth="1"/>
    <col min="3" max="3" width="27.85546875" customWidth="1"/>
    <col min="4" max="4" width="11.140625" bestFit="1" customWidth="1"/>
    <col min="5" max="5" width="23.42578125" customWidth="1"/>
    <col min="6" max="6" width="10.5703125" bestFit="1" customWidth="1"/>
    <col min="7" max="7" width="17.85546875" customWidth="1"/>
    <col min="8" max="8" width="37.42578125" customWidth="1"/>
  </cols>
  <sheetData>
    <row r="1" spans="1:10" ht="18.75">
      <c r="A1" s="17" t="s">
        <v>62</v>
      </c>
      <c r="B1" s="18"/>
    </row>
    <row r="2" spans="1:10">
      <c r="A2" s="19" t="s">
        <v>26</v>
      </c>
      <c r="B2">
        <f>COUNTIF(Trades!P3:P152,"&gt;0")</f>
        <v>3</v>
      </c>
      <c r="C2" s="20" t="s">
        <v>25</v>
      </c>
      <c r="D2">
        <f>COUNTIF(Trades!P3:P152,"&lt;0")</f>
        <v>2</v>
      </c>
      <c r="E2" s="21" t="s">
        <v>35</v>
      </c>
      <c r="F2">
        <f>B2+D2</f>
        <v>5</v>
      </c>
      <c r="H2" s="37" t="s">
        <v>67</v>
      </c>
    </row>
    <row r="3" spans="1:10">
      <c r="A3" s="19" t="s">
        <v>27</v>
      </c>
      <c r="B3">
        <f>MAX(Trades!N3:N152)</f>
        <v>22.600000000000399</v>
      </c>
      <c r="C3" s="20" t="s">
        <v>28</v>
      </c>
      <c r="D3">
        <f>MIN(Trades!N3:N152)</f>
        <v>-19.700000000000273</v>
      </c>
      <c r="E3" s="21" t="s">
        <v>36</v>
      </c>
      <c r="F3">
        <f>SUM(Trades!N3:N150)</f>
        <v>24.700000000001499</v>
      </c>
      <c r="H3" s="37" t="s">
        <v>65</v>
      </c>
      <c r="I3" s="10">
        <f>LOG(100)/-LOG(B16)</f>
        <v>11.357747174535143</v>
      </c>
    </row>
    <row r="4" spans="1:10">
      <c r="A4" s="19" t="s">
        <v>30</v>
      </c>
      <c r="B4" s="13">
        <f>MAX(Trades!P3:P150)</f>
        <v>455</v>
      </c>
      <c r="C4" s="20" t="s">
        <v>29</v>
      </c>
      <c r="D4" s="13">
        <f>MIN(Trades!P3:P150)</f>
        <v>-141</v>
      </c>
      <c r="E4" s="21" t="s">
        <v>37</v>
      </c>
      <c r="F4" s="11">
        <f>SUM(Trades!P3:P150)</f>
        <v>479</v>
      </c>
      <c r="H4" s="37" t="s">
        <v>66</v>
      </c>
      <c r="I4" s="10">
        <f>LOG(100)/-LOG(1-B16)</f>
        <v>4.1918065485787697</v>
      </c>
    </row>
    <row r="5" spans="1:10">
      <c r="A5" s="19" t="s">
        <v>31</v>
      </c>
      <c r="B5" s="10">
        <f>AVERAGEIF(Trades!N3:N150,"&gt;0")</f>
        <v>18.266666666667025</v>
      </c>
      <c r="C5" s="20" t="s">
        <v>32</v>
      </c>
      <c r="D5" s="10">
        <f>AVERAGEIF(Trades!N3:N150,"&lt;0")</f>
        <v>-15.049999999999786</v>
      </c>
      <c r="E5" s="21" t="s">
        <v>42</v>
      </c>
      <c r="F5" s="10">
        <f>MAX(Trades!M3:M150)</f>
        <v>1.5380710659898711</v>
      </c>
      <c r="H5" s="38" t="s">
        <v>71</v>
      </c>
      <c r="I5" s="10"/>
    </row>
    <row r="6" spans="1:10">
      <c r="A6" s="19" t="s">
        <v>33</v>
      </c>
      <c r="B6" s="13">
        <f>AVERAGEIF(Trades!P3:P150,"&gt;0")</f>
        <v>233.33333333333334</v>
      </c>
      <c r="C6" s="20" t="s">
        <v>34</v>
      </c>
      <c r="D6" s="13">
        <f>AVERAGEIF(Trades!P3:P150,"&lt;0")</f>
        <v>-110.5</v>
      </c>
      <c r="E6" s="21" t="s">
        <v>43</v>
      </c>
      <c r="F6" s="10">
        <f>MIN(Trades!M3:M150)</f>
        <v>0.9426751592357161</v>
      </c>
      <c r="H6" s="37" t="s">
        <v>68</v>
      </c>
      <c r="I6" s="10"/>
    </row>
    <row r="7" spans="1:10">
      <c r="E7" s="21" t="s">
        <v>60</v>
      </c>
      <c r="F7" s="34">
        <f>AVERAGE(Trades!M3:M150)</f>
        <v>1.1553610648681012</v>
      </c>
      <c r="H7" s="37" t="s">
        <v>65</v>
      </c>
      <c r="I7" s="10">
        <f>LOG(100)/-LOG(B17)</f>
        <v>6.6438561897747244</v>
      </c>
    </row>
    <row r="8" spans="1:10">
      <c r="A8" s="19" t="s">
        <v>38</v>
      </c>
      <c r="B8" s="33">
        <f>AVERAGEIF(Trades!P3:P150,"&gt;0",Trades!D3:D150)</f>
        <v>5576.666666666667</v>
      </c>
      <c r="C8" s="20" t="s">
        <v>39</v>
      </c>
      <c r="D8" s="33">
        <f>AVERAGEIF(Trades!P3:P150,"&lt;0",Trades!D3:D150)</f>
        <v>2500</v>
      </c>
      <c r="E8" s="21" t="s">
        <v>40</v>
      </c>
      <c r="F8" s="33">
        <f>AVERAGE(Trades!D3:D150)</f>
        <v>4346</v>
      </c>
      <c r="H8" s="37" t="s">
        <v>69</v>
      </c>
      <c r="I8" s="10">
        <f>LOG(100)/-LOG(1-B17)</f>
        <v>6.6438561897747244</v>
      </c>
    </row>
    <row r="9" spans="1:10">
      <c r="H9" s="38" t="s">
        <v>71</v>
      </c>
      <c r="I9" s="10"/>
    </row>
    <row r="10" spans="1:10">
      <c r="A10" s="24" t="s">
        <v>44</v>
      </c>
      <c r="B10" s="11">
        <f>MAX(Trades!Q2:Q150)</f>
        <v>5479</v>
      </c>
      <c r="C10" s="20" t="s">
        <v>76</v>
      </c>
      <c r="D10" s="11">
        <f>MIN(Trades!Q2:Q150)</f>
        <v>4949</v>
      </c>
      <c r="E10" s="21" t="s">
        <v>45</v>
      </c>
      <c r="F10" s="13">
        <f>B10-D10</f>
        <v>530</v>
      </c>
      <c r="H10" s="37" t="s">
        <v>70</v>
      </c>
      <c r="I10" s="10"/>
    </row>
    <row r="11" spans="1:10">
      <c r="E11" s="21" t="s">
        <v>46</v>
      </c>
      <c r="F11" s="12">
        <f>(1-D10/B10)</f>
        <v>9.6732980470888852E-2</v>
      </c>
      <c r="H11" s="37" t="s">
        <v>65</v>
      </c>
      <c r="I11" s="10">
        <f>LOG(100)/-LOG(B18)</f>
        <v>9.0151511038876944</v>
      </c>
    </row>
    <row r="12" spans="1:10">
      <c r="A12" s="35" t="s">
        <v>61</v>
      </c>
      <c r="B12" s="10">
        <f>(B5*B18)+((1-B18)*D5)</f>
        <v>4.9400000000002997</v>
      </c>
      <c r="C12" s="35" t="s">
        <v>64</v>
      </c>
      <c r="D12" s="43">
        <f>(B6*B18)+((1-B18)*D6)</f>
        <v>95.8</v>
      </c>
      <c r="H12" s="37" t="s">
        <v>69</v>
      </c>
      <c r="I12" s="10">
        <f>LOG(100)/-LOG(1-B18)</f>
        <v>5.0258831894641203</v>
      </c>
    </row>
    <row r="13" spans="1:10">
      <c r="H13" s="38" t="s">
        <v>71</v>
      </c>
    </row>
    <row r="15" spans="1:10" ht="18.75">
      <c r="A15" s="36" t="s">
        <v>63</v>
      </c>
      <c r="D15" s="50" t="s">
        <v>95</v>
      </c>
      <c r="H15" s="37" t="s">
        <v>75</v>
      </c>
      <c r="I15" t="s">
        <v>73</v>
      </c>
      <c r="J15" s="9">
        <v>5</v>
      </c>
    </row>
    <row r="16" spans="1:10">
      <c r="A16" s="23" t="s">
        <v>90</v>
      </c>
      <c r="B16" s="12">
        <f>F16/D16</f>
        <v>0.66666666666666663</v>
      </c>
      <c r="C16" t="s">
        <v>88</v>
      </c>
      <c r="D16">
        <f>COUNTIF(Trades!L3:L150,"S*")</f>
        <v>3</v>
      </c>
      <c r="E16" t="s">
        <v>92</v>
      </c>
      <c r="F16">
        <f>COUNTIFS(Trades!N3:N150,"&gt;0",Trades!L3:L150,"S*")</f>
        <v>2</v>
      </c>
      <c r="H16" s="39" t="s">
        <v>94</v>
      </c>
      <c r="I16" t="s">
        <v>74</v>
      </c>
      <c r="J16" s="9">
        <v>4</v>
      </c>
    </row>
    <row r="17" spans="1:11">
      <c r="A17" s="23" t="s">
        <v>89</v>
      </c>
      <c r="B17" s="12">
        <f>F17/D17</f>
        <v>0.5</v>
      </c>
      <c r="C17" t="s">
        <v>87</v>
      </c>
      <c r="D17">
        <f>COUNTIF(Trades!L3:L150,"B*")</f>
        <v>2</v>
      </c>
      <c r="E17" t="s">
        <v>91</v>
      </c>
      <c r="F17">
        <f>COUNTIFS(Trades!N3:N150,"&gt;0",Trades!L3:L150,"B*")</f>
        <v>1</v>
      </c>
    </row>
    <row r="18" spans="1:11">
      <c r="A18" s="23" t="s">
        <v>82</v>
      </c>
      <c r="B18" s="12">
        <f>(COUNTIF(Trades!N3:N150,"&gt;0"))/(COUNT(Trades!N3:N150))</f>
        <v>0.6</v>
      </c>
      <c r="C18" s="44" t="s">
        <v>77</v>
      </c>
      <c r="D18" s="45">
        <f>D16/D17</f>
        <v>1.5</v>
      </c>
      <c r="H18" s="41" t="s">
        <v>78</v>
      </c>
      <c r="I18" s="43">
        <f>SUM(Trades!P5:P209)-13.58</f>
        <v>375.42</v>
      </c>
      <c r="J18" s="12">
        <f>I18/Trades!Q7</f>
        <v>6.8519802883737907E-2</v>
      </c>
      <c r="K18" s="50" t="s">
        <v>93</v>
      </c>
    </row>
    <row r="19" spans="1:11">
      <c r="A19" s="23" t="s">
        <v>83</v>
      </c>
      <c r="B19" s="49">
        <f>AVERAGE(B16,B17)</f>
        <v>0.58333333333333326</v>
      </c>
      <c r="H19" t="s">
        <v>79</v>
      </c>
      <c r="I19" s="11">
        <f>SUM(Trades!P5:P209)</f>
        <v>389</v>
      </c>
      <c r="J19" s="12">
        <f>I19/Trades!Q7</f>
        <v>7.0998357364482567E-2</v>
      </c>
      <c r="K19" s="50" t="s">
        <v>93</v>
      </c>
    </row>
    <row r="21" spans="1:11">
      <c r="A21" s="19" t="s">
        <v>97</v>
      </c>
      <c r="B21">
        <f>AVERAGEIFS(Trades!N3:N27,Trades!L3:L27,"S*",Trades!N3:N27,"&gt;0")</f>
        <v>21.400000000000308</v>
      </c>
      <c r="C21" s="20" t="s">
        <v>103</v>
      </c>
      <c r="D21">
        <f>AVERAGEIFS(Trades!N3:N27,Trades!L3:L27,"S*",Trades!N3:N27,"&lt;0")</f>
        <v>-10.399999999999299</v>
      </c>
      <c r="H21" s="46" t="s">
        <v>80</v>
      </c>
      <c r="I21" s="11">
        <f>SUM(Trades!P3:P7)</f>
        <v>479</v>
      </c>
      <c r="J21" s="47">
        <f>(I21)/Trades!Q7</f>
        <v>8.7424712538784449E-2</v>
      </c>
      <c r="K21" s="50" t="s">
        <v>93</v>
      </c>
    </row>
    <row r="22" spans="1:11">
      <c r="A22" s="19" t="s">
        <v>96</v>
      </c>
      <c r="B22" s="42">
        <f>AVERAGEIFS(Trades!P3:P27,Trades!L3:L27,"S*",Trades!P3:P27,"&gt;0")</f>
        <v>312.5</v>
      </c>
      <c r="C22" s="20" t="s">
        <v>102</v>
      </c>
      <c r="D22" s="42">
        <f>AVERAGEIFS(Trades!P3:P27,Trades!L3:L27,"S*",Trades!P3:P27,"&lt;0")</f>
        <v>-80</v>
      </c>
    </row>
    <row r="23" spans="1:11">
      <c r="A23" s="19" t="s">
        <v>98</v>
      </c>
      <c r="B23" s="10">
        <f>AVERAGEIFS(Trades!N3:N27,Trades!L3:L27,"B*",Trades!N3:N27,"&gt;0")</f>
        <v>12.000000000000455</v>
      </c>
      <c r="C23" s="20" t="s">
        <v>101</v>
      </c>
      <c r="D23">
        <f>AVERAGEIFS(Trades!N3:N27,Trades!L3:L27,"B*",Trades!N3:N27,"&lt;0")</f>
        <v>-19.700000000000273</v>
      </c>
    </row>
    <row r="24" spans="1:11">
      <c r="A24" s="19" t="s">
        <v>99</v>
      </c>
      <c r="B24" s="42">
        <f>AVERAGEIFS(Trades!P3:P27,Trades!L3:L27,"B*",Trades!P3:P27,"&gt;0")</f>
        <v>75</v>
      </c>
      <c r="C24" s="20" t="s">
        <v>100</v>
      </c>
      <c r="D24" s="42">
        <f>AVERAGEIFS(Trades!P3:P27,Trades!L3:L27,"B*",Trades!P3:P27,"&lt;0")</f>
        <v>-141</v>
      </c>
    </row>
    <row r="26" spans="1:11">
      <c r="A26" s="35" t="s">
        <v>107</v>
      </c>
      <c r="B26" s="10">
        <f>(B21*B16)+((1-B16)*D21)</f>
        <v>10.800000000000438</v>
      </c>
      <c r="C26" s="35" t="s">
        <v>104</v>
      </c>
      <c r="D26" s="10">
        <f>(B23*B17)+((1-B17)*D23)</f>
        <v>-3.8499999999999091</v>
      </c>
    </row>
    <row r="27" spans="1:11">
      <c r="A27" s="35" t="s">
        <v>106</v>
      </c>
      <c r="B27" s="42">
        <f>(B22*B16)+((1-B16)*D22)</f>
        <v>181.66666666666663</v>
      </c>
      <c r="C27" s="35" t="s">
        <v>105</v>
      </c>
      <c r="D27" s="42">
        <f>(B24*B17)+((1-B17)*D24)</f>
        <v>-33</v>
      </c>
    </row>
  </sheetData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37" workbookViewId="0">
      <selection activeCell="O6" sqref="O6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Trades</vt:lpstr>
      <vt:lpstr>Performance analysis</vt:lpstr>
      <vt:lpstr>Charts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Derek</dc:creator>
  <cp:lastModifiedBy>Derek</cp:lastModifiedBy>
  <dcterms:created xsi:type="dcterms:W3CDTF">2011-11-18T15:40:53Z</dcterms:created>
  <dcterms:modified xsi:type="dcterms:W3CDTF">2011-12-04T12:41:21Z</dcterms:modified>
</cp:coreProperties>
</file>